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conomic evaluation" sheetId="1" r:id="rId1"/>
  </sheets>
  <definedNames>
    <definedName name="_xlnm.Print_Area" localSheetId="0">'economic evaluation'!$A$1:$L$69</definedName>
  </definedNames>
  <calcPr fullCalcOnLoad="1"/>
</workbook>
</file>

<file path=xl/sharedStrings.xml><?xml version="1.0" encoding="utf-8"?>
<sst xmlns="http://schemas.openxmlformats.org/spreadsheetml/2006/main" count="252" uniqueCount="86">
  <si>
    <t>staffing costs:</t>
  </si>
  <si>
    <t>fuel consumption:</t>
  </si>
  <si>
    <t>BHP</t>
  </si>
  <si>
    <t>thermal output:</t>
  </si>
  <si>
    <t>firebox input capacity</t>
  </si>
  <si>
    <t>GJ/h</t>
  </si>
  <si>
    <t>n/a</t>
  </si>
  <si>
    <t>MW</t>
  </si>
  <si>
    <t>moisture content fuel</t>
  </si>
  <si>
    <t>GJ/yr.</t>
  </si>
  <si>
    <t>annual heat production:</t>
  </si>
  <si>
    <t>annual electricity production:</t>
  </si>
  <si>
    <t>MWh/yr</t>
  </si>
  <si>
    <t>h/yr.</t>
  </si>
  <si>
    <t>thereof usable heat:</t>
  </si>
  <si>
    <t>total annual O&amp;M costs:</t>
  </si>
  <si>
    <t>net electricity sale price:</t>
  </si>
  <si>
    <t>$/MWh</t>
  </si>
  <si>
    <t>$/GJ</t>
  </si>
  <si>
    <r>
      <t>MW</t>
    </r>
    <r>
      <rPr>
        <vertAlign val="subscript"/>
        <sz val="10"/>
        <rFont val="Arial"/>
        <family val="2"/>
      </rPr>
      <t>th</t>
    </r>
  </si>
  <si>
    <t>ORC cogen</t>
  </si>
  <si>
    <t>years</t>
  </si>
  <si>
    <t>Simple payback period:</t>
  </si>
  <si>
    <t>assumed depreciation period:</t>
  </si>
  <si>
    <t>p.a.</t>
  </si>
  <si>
    <t>annuity:</t>
  </si>
  <si>
    <t>per yr.</t>
  </si>
  <si>
    <t>Cent/kWh</t>
  </si>
  <si>
    <t>Gross earnings (excl. capital costs):</t>
  </si>
  <si>
    <t>Technical Data</t>
  </si>
  <si>
    <t>Fuel Specifics:</t>
  </si>
  <si>
    <t>Heat Production:</t>
  </si>
  <si>
    <t>Electricity Production:</t>
  </si>
  <si>
    <t>Capital Costs:</t>
  </si>
  <si>
    <t>Economic Performance Indicators:</t>
  </si>
  <si>
    <t>calorific value natural gas:</t>
  </si>
  <si>
    <t>GJ/m³</t>
  </si>
  <si>
    <t>calorific value:</t>
  </si>
  <si>
    <t>* BDT: bone dry metric tonne</t>
  </si>
  <si>
    <t>BDT*/h</t>
  </si>
  <si>
    <t>GJ/BDT*</t>
  </si>
  <si>
    <t>t/h (wet)</t>
  </si>
  <si>
    <t>annual full operating hours²:</t>
  </si>
  <si>
    <t>² including 1 day maintenance every month</t>
  </si>
  <si>
    <t>depriciating/interest rate:</t>
  </si>
  <si>
    <t>total annual revenue/savings:</t>
  </si>
  <si>
    <t>electricity generation costs³:</t>
  </si>
  <si>
    <t>Annual O&amp; M costs:</t>
  </si>
  <si>
    <t>Annual Revenue/Savings:</t>
  </si>
  <si>
    <t>Annual Loss/Profit:</t>
  </si>
  <si>
    <t>$/m³</t>
  </si>
  <si>
    <t>wood fuel costs:</t>
  </si>
  <si>
    <t>yellow marked figures needs to be verified/checked</t>
  </si>
  <si>
    <t>Net earnings (incl. capital costs): ³</t>
  </si>
  <si>
    <t>t/yr. (wet)</t>
  </si>
  <si>
    <t>GJ/tonne (wet)</t>
  </si>
  <si>
    <t>annual consumption</t>
  </si>
  <si>
    <t>thereof heat that can be sold:</t>
  </si>
  <si>
    <t xml:space="preserve"> heat-only plant</t>
  </si>
  <si>
    <t>MBTU/h</t>
  </si>
  <si>
    <t>MBTU/yr.</t>
  </si>
  <si>
    <t>calorific value heating oil:</t>
  </si>
  <si>
    <t>GJ/tonne</t>
  </si>
  <si>
    <t>MJ/litre</t>
  </si>
  <si>
    <t>natural gas price:</t>
  </si>
  <si>
    <t>heat sale price:</t>
  </si>
  <si>
    <t>electrical net output:</t>
  </si>
  <si>
    <t>$/BDT*</t>
  </si>
  <si>
    <t>BDT*/yr.</t>
  </si>
  <si>
    <t>MWh/yr.</t>
  </si>
  <si>
    <t>steam cogen</t>
  </si>
  <si>
    <t>from heat sale:</t>
  </si>
  <si>
    <t>from electricity sale/savings:</t>
  </si>
  <si>
    <t>initial capital expense (turnkey):</t>
  </si>
  <si>
    <t>Sterling cogen</t>
  </si>
  <si>
    <t>gasification cogen</t>
  </si>
  <si>
    <t>maintenance costs:</t>
  </si>
  <si>
    <t>$/t (wet)</t>
  </si>
  <si>
    <t>lb/h (wet)</t>
  </si>
  <si>
    <r>
      <t>GJ</t>
    </r>
    <r>
      <rPr>
        <vertAlign val="subscript"/>
        <sz val="10"/>
        <rFont val="Arial"/>
        <family val="2"/>
      </rPr>
      <t>fuel</t>
    </r>
    <r>
      <rPr>
        <sz val="10"/>
        <rFont val="Arial"/>
        <family val="0"/>
      </rPr>
      <t>/GWh</t>
    </r>
    <r>
      <rPr>
        <vertAlign val="subscript"/>
        <sz val="10"/>
        <rFont val="Arial"/>
        <family val="2"/>
      </rPr>
      <t>el</t>
    </r>
  </si>
  <si>
    <r>
      <t>GJ</t>
    </r>
    <r>
      <rPr>
        <vertAlign val="subscript"/>
        <sz val="10"/>
        <rFont val="Arial"/>
        <family val="2"/>
      </rPr>
      <t>fuel</t>
    </r>
    <r>
      <rPr>
        <sz val="10"/>
        <rFont val="Arial"/>
        <family val="0"/>
      </rPr>
      <t>/yr.</t>
    </r>
  </si>
  <si>
    <t>electrical efficiency:</t>
  </si>
  <si>
    <t>days/yr.</t>
  </si>
  <si>
    <r>
      <t>$/MWh</t>
    </r>
    <r>
      <rPr>
        <vertAlign val="subscript"/>
        <sz val="10"/>
        <rFont val="Arial"/>
        <family val="2"/>
      </rPr>
      <t>th</t>
    </r>
  </si>
  <si>
    <t>³ assuming figures mentioned in cell C38 and C39 (7 years depreciation period, 8% interest)</t>
  </si>
  <si>
    <t>EVALUATION OF BIOMASS CHP TECHNOLOGIES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</si>
</sst>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1009]#,##0"/>
    <numFmt numFmtId="173" formatCode="0.0"/>
    <numFmt numFmtId="174" formatCode="0.00000"/>
    <numFmt numFmtId="175" formatCode="0.0000"/>
    <numFmt numFmtId="176" formatCode="0.000"/>
    <numFmt numFmtId="177" formatCode="[$$-1009]#,##0.0"/>
    <numFmt numFmtId="178" formatCode="#,##0.0"/>
    <numFmt numFmtId="179" formatCode="0.0000000"/>
    <numFmt numFmtId="180" formatCode="0.000000"/>
    <numFmt numFmtId="181" formatCode="#,##0\ &quot;GJ&quot;"/>
    <numFmt numFmtId="182" formatCode="#,##0\ &quot;GJ/d&quot;"/>
    <numFmt numFmtId="183" formatCode="[$$-1009]#,##0.00"/>
    <numFmt numFmtId="184" formatCode="0.0%"/>
    <numFmt numFmtId="185" formatCode="#,##0\ &quot;MW&quot;"/>
    <numFmt numFmtId="186" formatCode="#,##0.0\ &quot;MW&quot;"/>
    <numFmt numFmtId="187" formatCode="&quot;($&quot;0.00\ &quot;GJ)&quot;"/>
    <numFmt numFmtId="188" formatCode="&quot;($&quot;0.00\ &quot;MWh)&quot;"/>
    <numFmt numFmtId="189" formatCode="&quot;($&quot;0.0\ &quot;MWh)&quot;"/>
    <numFmt numFmtId="190" formatCode="&quot;($&quot;0\ &quot;MWh)&quot;"/>
    <numFmt numFmtId="191" formatCode="&quot;($&quot;0.0\ &quot;GJ)&quot;"/>
    <numFmt numFmtId="192" formatCode="&quot;($&quot;0\ &quot;GJ)&quot;"/>
    <numFmt numFmtId="193" formatCode="&quot;enough for&quot;\ #,##0\ &quot;BC homes&quot;"/>
    <numFmt numFmtId="194" formatCode="&quot;replacing&quot;\ #,##0\ &quot;t of CO2eq&quot;"/>
    <numFmt numFmtId="195" formatCode="#,##0\ &quot;t of CO2eq (Alberta power)&quot;"/>
    <numFmt numFmtId="196" formatCode="#,##0\ &quot;t of CO2eq (diesel gen-sets)&quot;"/>
    <numFmt numFmtId="197" formatCode="&quot;($&quot;0\ &quot;/MWh)&quot;"/>
  </numFmts>
  <fonts count="31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6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 horizontal="right"/>
    </xf>
    <xf numFmtId="183" fontId="0" fillId="0" borderId="0" xfId="0" applyNumberFormat="1" applyAlignment="1">
      <alignment/>
    </xf>
    <xf numFmtId="0" fontId="0" fillId="25" borderId="0" xfId="0" applyFill="1" applyAlignment="1">
      <alignment/>
    </xf>
    <xf numFmtId="0" fontId="0" fillId="7" borderId="0" xfId="0" applyFill="1" applyAlignment="1">
      <alignment horizontal="right"/>
    </xf>
    <xf numFmtId="0" fontId="0" fillId="7" borderId="0" xfId="0" applyFill="1" applyAlignment="1">
      <alignment/>
    </xf>
    <xf numFmtId="173" fontId="0" fillId="7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3" fontId="0" fillId="7" borderId="0" xfId="0" applyNumberFormat="1" applyFill="1" applyAlignment="1">
      <alignment horizontal="right"/>
    </xf>
    <xf numFmtId="178" fontId="0" fillId="7" borderId="0" xfId="0" applyNumberFormat="1" applyFill="1" applyAlignment="1">
      <alignment/>
    </xf>
    <xf numFmtId="4" fontId="0" fillId="7" borderId="0" xfId="0" applyNumberFormat="1" applyFill="1" applyAlignment="1">
      <alignment horizontal="right"/>
    </xf>
    <xf numFmtId="172" fontId="0" fillId="7" borderId="0" xfId="0" applyNumberFormat="1" applyFill="1" applyAlignment="1">
      <alignment horizontal="right"/>
    </xf>
    <xf numFmtId="172" fontId="0" fillId="7" borderId="0" xfId="0" applyNumberFormat="1" applyFill="1" applyAlignment="1">
      <alignment/>
    </xf>
    <xf numFmtId="172" fontId="5" fillId="7" borderId="0" xfId="0" applyNumberFormat="1" applyFont="1" applyFill="1" applyAlignment="1">
      <alignment horizontal="right"/>
    </xf>
    <xf numFmtId="0" fontId="5" fillId="7" borderId="0" xfId="0" applyFont="1" applyFill="1" applyAlignment="1">
      <alignment/>
    </xf>
    <xf numFmtId="172" fontId="0" fillId="7" borderId="10" xfId="0" applyNumberFormat="1" applyFill="1" applyBorder="1" applyAlignment="1">
      <alignment horizontal="right"/>
    </xf>
    <xf numFmtId="0" fontId="0" fillId="7" borderId="10" xfId="0" applyFill="1" applyBorder="1" applyAlignment="1">
      <alignment/>
    </xf>
    <xf numFmtId="173" fontId="0" fillId="24" borderId="0" xfId="0" applyNumberFormat="1" applyFill="1" applyAlignment="1">
      <alignment horizontal="right"/>
    </xf>
    <xf numFmtId="1" fontId="0" fillId="24" borderId="0" xfId="0" applyNumberFormat="1" applyFill="1" applyAlignment="1">
      <alignment/>
    </xf>
    <xf numFmtId="9" fontId="0" fillId="24" borderId="0" xfId="0" applyNumberFormat="1" applyFill="1" applyAlignment="1">
      <alignment/>
    </xf>
    <xf numFmtId="173" fontId="0" fillId="24" borderId="0" xfId="0" applyNumberFormat="1" applyFill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 horizontal="right"/>
    </xf>
    <xf numFmtId="178" fontId="0" fillId="24" borderId="0" xfId="0" applyNumberFormat="1" applyFill="1" applyAlignment="1">
      <alignment/>
    </xf>
    <xf numFmtId="172" fontId="0" fillId="24" borderId="0" xfId="0" applyNumberFormat="1" applyFill="1" applyAlignment="1">
      <alignment/>
    </xf>
    <xf numFmtId="172" fontId="5" fillId="24" borderId="0" xfId="0" applyNumberFormat="1" applyFont="1" applyFill="1" applyAlignment="1">
      <alignment horizontal="right"/>
    </xf>
    <xf numFmtId="0" fontId="5" fillId="24" borderId="0" xfId="0" applyFont="1" applyFill="1" applyAlignment="1">
      <alignment/>
    </xf>
    <xf numFmtId="172" fontId="0" fillId="24" borderId="0" xfId="0" applyNumberFormat="1" applyFill="1" applyAlignment="1">
      <alignment horizontal="right"/>
    </xf>
    <xf numFmtId="172" fontId="0" fillId="24" borderId="10" xfId="0" applyNumberFormat="1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/>
    </xf>
    <xf numFmtId="0" fontId="5" fillId="4" borderId="0" xfId="0" applyFont="1" applyFill="1" applyAlignment="1">
      <alignment/>
    </xf>
    <xf numFmtId="173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9" fontId="0" fillId="25" borderId="0" xfId="0" applyNumberFormat="1" applyFont="1" applyFill="1" applyAlignment="1">
      <alignment horizontal="right"/>
    </xf>
    <xf numFmtId="3" fontId="0" fillId="25" borderId="0" xfId="0" applyNumberFormat="1" applyFont="1" applyFill="1" applyAlignment="1">
      <alignment horizontal="right"/>
    </xf>
    <xf numFmtId="0" fontId="3" fillId="26" borderId="0" xfId="0" applyFont="1" applyFill="1" applyAlignment="1">
      <alignment/>
    </xf>
    <xf numFmtId="0" fontId="0" fillId="26" borderId="0" xfId="0" applyFill="1" applyAlignment="1">
      <alignment/>
    </xf>
    <xf numFmtId="0" fontId="5" fillId="26" borderId="0" xfId="0" applyFont="1" applyFill="1" applyAlignment="1">
      <alignment/>
    </xf>
    <xf numFmtId="0" fontId="0" fillId="26" borderId="10" xfId="0" applyFill="1" applyBorder="1" applyAlignment="1">
      <alignment/>
    </xf>
    <xf numFmtId="0" fontId="4" fillId="26" borderId="0" xfId="0" applyFont="1" applyFill="1" applyAlignment="1">
      <alignment/>
    </xf>
    <xf numFmtId="0" fontId="0" fillId="4" borderId="10" xfId="0" applyFill="1" applyBorder="1" applyAlignment="1">
      <alignment/>
    </xf>
    <xf numFmtId="184" fontId="0" fillId="25" borderId="0" xfId="0" applyNumberFormat="1" applyFont="1" applyFill="1" applyAlignment="1">
      <alignment horizontal="right"/>
    </xf>
    <xf numFmtId="184" fontId="0" fillId="24" borderId="0" xfId="0" applyNumberFormat="1" applyFill="1" applyAlignment="1">
      <alignment horizontal="right"/>
    </xf>
    <xf numFmtId="173" fontId="0" fillId="25" borderId="0" xfId="0" applyNumberFormat="1" applyFont="1" applyFill="1" applyAlignment="1">
      <alignment horizontal="right"/>
    </xf>
    <xf numFmtId="0" fontId="0" fillId="26" borderId="0" xfId="0" applyFill="1" applyAlignment="1">
      <alignment horizontal="right"/>
    </xf>
    <xf numFmtId="3" fontId="0" fillId="24" borderId="0" xfId="0" applyNumberFormat="1" applyFill="1" applyAlignment="1">
      <alignment horizontal="right"/>
    </xf>
    <xf numFmtId="173" fontId="0" fillId="7" borderId="0" xfId="0" applyNumberFormat="1" applyFont="1" applyFill="1" applyAlignment="1">
      <alignment horizontal="right"/>
    </xf>
    <xf numFmtId="3" fontId="0" fillId="7" borderId="0" xfId="0" applyNumberFormat="1" applyFont="1" applyFill="1" applyAlignment="1">
      <alignment horizontal="right"/>
    </xf>
    <xf numFmtId="173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3" fontId="0" fillId="25" borderId="0" xfId="0" applyNumberFormat="1" applyFill="1" applyAlignment="1">
      <alignment horizontal="right"/>
    </xf>
    <xf numFmtId="1" fontId="0" fillId="25" borderId="0" xfId="0" applyNumberFormat="1" applyFill="1" applyAlignment="1">
      <alignment horizontal="right"/>
    </xf>
    <xf numFmtId="1" fontId="0" fillId="24" borderId="0" xfId="0" applyNumberFormat="1" applyFill="1" applyAlignment="1">
      <alignment horizontal="right"/>
    </xf>
    <xf numFmtId="3" fontId="0" fillId="24" borderId="0" xfId="0" applyNumberFormat="1" applyFont="1" applyFill="1" applyAlignment="1">
      <alignment horizontal="right"/>
    </xf>
    <xf numFmtId="0" fontId="0" fillId="24" borderId="0" xfId="0" applyFill="1" applyAlignment="1">
      <alignment horizontal="right"/>
    </xf>
    <xf numFmtId="173" fontId="0" fillId="4" borderId="0" xfId="0" applyNumberFormat="1" applyFill="1" applyAlignment="1">
      <alignment horizontal="right"/>
    </xf>
    <xf numFmtId="9" fontId="0" fillId="4" borderId="0" xfId="0" applyNumberFormat="1" applyFill="1" applyAlignment="1">
      <alignment/>
    </xf>
    <xf numFmtId="3" fontId="0" fillId="4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0" fillId="4" borderId="0" xfId="0" applyNumberFormat="1" applyFill="1" applyAlignment="1">
      <alignment/>
    </xf>
    <xf numFmtId="0" fontId="0" fillId="4" borderId="0" xfId="0" applyFill="1" applyAlignment="1">
      <alignment horizontal="right"/>
    </xf>
    <xf numFmtId="4" fontId="0" fillId="4" borderId="0" xfId="0" applyNumberFormat="1" applyFill="1" applyAlignment="1">
      <alignment horizontal="right"/>
    </xf>
    <xf numFmtId="178" fontId="0" fillId="4" borderId="0" xfId="0" applyNumberFormat="1" applyFill="1" applyAlignment="1">
      <alignment/>
    </xf>
    <xf numFmtId="184" fontId="0" fillId="4" borderId="0" xfId="0" applyNumberFormat="1" applyFill="1" applyAlignment="1">
      <alignment horizontal="right"/>
    </xf>
    <xf numFmtId="172" fontId="5" fillId="4" borderId="0" xfId="0" applyNumberFormat="1" applyFont="1" applyFill="1" applyAlignment="1">
      <alignment horizontal="right"/>
    </xf>
    <xf numFmtId="172" fontId="0" fillId="4" borderId="0" xfId="0" applyNumberFormat="1" applyFill="1" applyAlignment="1">
      <alignment horizontal="right"/>
    </xf>
    <xf numFmtId="172" fontId="0" fillId="4" borderId="10" xfId="0" applyNumberFormat="1" applyFill="1" applyBorder="1" applyAlignment="1">
      <alignment horizontal="right"/>
    </xf>
    <xf numFmtId="173" fontId="0" fillId="25" borderId="0" xfId="0" applyNumberFormat="1" applyFill="1" applyAlignment="1">
      <alignment/>
    </xf>
    <xf numFmtId="0" fontId="0" fillId="8" borderId="0" xfId="0" applyFill="1" applyAlignment="1">
      <alignment/>
    </xf>
    <xf numFmtId="173" fontId="0" fillId="8" borderId="0" xfId="0" applyNumberFormat="1" applyFill="1" applyAlignment="1">
      <alignment/>
    </xf>
    <xf numFmtId="1" fontId="0" fillId="8" borderId="0" xfId="0" applyNumberFormat="1" applyFill="1" applyAlignment="1">
      <alignment/>
    </xf>
    <xf numFmtId="2" fontId="0" fillId="8" borderId="0" xfId="0" applyNumberFormat="1" applyFill="1" applyAlignment="1">
      <alignment horizontal="right"/>
    </xf>
    <xf numFmtId="173" fontId="0" fillId="8" borderId="0" xfId="0" applyNumberFormat="1" applyFill="1" applyAlignment="1">
      <alignment horizontal="right"/>
    </xf>
    <xf numFmtId="9" fontId="0" fillId="8" borderId="0" xfId="0" applyNumberFormat="1" applyFill="1" applyAlignment="1">
      <alignment/>
    </xf>
    <xf numFmtId="3" fontId="0" fillId="8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3" fontId="0" fillId="8" borderId="0" xfId="0" applyNumberFormat="1" applyFont="1" applyFill="1" applyAlignment="1">
      <alignment horizontal="right"/>
    </xf>
    <xf numFmtId="3" fontId="0" fillId="8" borderId="0" xfId="0" applyNumberFormat="1" applyFill="1" applyAlignment="1">
      <alignment/>
    </xf>
    <xf numFmtId="0" fontId="0" fillId="8" borderId="0" xfId="0" applyFill="1" applyAlignment="1">
      <alignment horizontal="right"/>
    </xf>
    <xf numFmtId="4" fontId="0" fillId="8" borderId="0" xfId="0" applyNumberFormat="1" applyFill="1" applyAlignment="1">
      <alignment horizontal="right"/>
    </xf>
    <xf numFmtId="178" fontId="0" fillId="8" borderId="0" xfId="0" applyNumberFormat="1" applyFill="1" applyAlignment="1">
      <alignment/>
    </xf>
    <xf numFmtId="172" fontId="0" fillId="8" borderId="0" xfId="0" applyNumberFormat="1" applyFill="1" applyAlignment="1">
      <alignment/>
    </xf>
    <xf numFmtId="184" fontId="0" fillId="8" borderId="0" xfId="0" applyNumberFormat="1" applyFill="1" applyAlignment="1">
      <alignment horizontal="right"/>
    </xf>
    <xf numFmtId="172" fontId="5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/>
    </xf>
    <xf numFmtId="172" fontId="0" fillId="8" borderId="0" xfId="0" applyNumberFormat="1" applyFill="1" applyAlignment="1">
      <alignment horizontal="right"/>
    </xf>
    <xf numFmtId="172" fontId="0" fillId="8" borderId="10" xfId="0" applyNumberFormat="1" applyFill="1" applyBorder="1" applyAlignment="1">
      <alignment horizontal="right"/>
    </xf>
    <xf numFmtId="0" fontId="0" fillId="8" borderId="10" xfId="0" applyFill="1" applyBorder="1" applyAlignment="1">
      <alignment/>
    </xf>
    <xf numFmtId="0" fontId="0" fillId="5" borderId="0" xfId="0" applyFill="1" applyAlignment="1">
      <alignment/>
    </xf>
    <xf numFmtId="173" fontId="0" fillId="5" borderId="0" xfId="0" applyNumberFormat="1" applyFill="1" applyAlignment="1">
      <alignment/>
    </xf>
    <xf numFmtId="173" fontId="0" fillId="5" borderId="0" xfId="0" applyNumberFormat="1" applyFill="1" applyAlignment="1">
      <alignment horizontal="right"/>
    </xf>
    <xf numFmtId="1" fontId="0" fillId="5" borderId="0" xfId="0" applyNumberFormat="1" applyFill="1" applyAlignment="1">
      <alignment/>
    </xf>
    <xf numFmtId="9" fontId="0" fillId="5" borderId="0" xfId="0" applyNumberFormat="1" applyFill="1" applyAlignment="1">
      <alignment/>
    </xf>
    <xf numFmtId="3" fontId="0" fillId="5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3" fontId="0" fillId="5" borderId="0" xfId="0" applyNumberFormat="1" applyFont="1" applyFill="1" applyAlignment="1">
      <alignment horizontal="right"/>
    </xf>
    <xf numFmtId="3" fontId="0" fillId="5" borderId="0" xfId="0" applyNumberFormat="1" applyFill="1" applyAlignment="1">
      <alignment/>
    </xf>
    <xf numFmtId="0" fontId="0" fillId="5" borderId="0" xfId="0" applyFill="1" applyAlignment="1">
      <alignment horizontal="right"/>
    </xf>
    <xf numFmtId="4" fontId="0" fillId="5" borderId="0" xfId="0" applyNumberFormat="1" applyFill="1" applyAlignment="1">
      <alignment horizontal="right"/>
    </xf>
    <xf numFmtId="178" fontId="0" fillId="5" borderId="0" xfId="0" applyNumberFormat="1" applyFill="1" applyAlignment="1">
      <alignment/>
    </xf>
    <xf numFmtId="172" fontId="0" fillId="5" borderId="0" xfId="0" applyNumberFormat="1" applyFill="1" applyAlignment="1">
      <alignment/>
    </xf>
    <xf numFmtId="184" fontId="0" fillId="5" borderId="0" xfId="0" applyNumberFormat="1" applyFill="1" applyAlignment="1">
      <alignment horizontal="right"/>
    </xf>
    <xf numFmtId="172" fontId="5" fillId="5" borderId="0" xfId="0" applyNumberFormat="1" applyFont="1" applyFill="1" applyAlignment="1">
      <alignment horizontal="right"/>
    </xf>
    <xf numFmtId="0" fontId="5" fillId="5" borderId="0" xfId="0" applyFont="1" applyFill="1" applyAlignment="1">
      <alignment/>
    </xf>
    <xf numFmtId="172" fontId="0" fillId="5" borderId="0" xfId="0" applyNumberFormat="1" applyFill="1" applyAlignment="1">
      <alignment horizontal="right"/>
    </xf>
    <xf numFmtId="172" fontId="0" fillId="5" borderId="10" xfId="0" applyNumberFormat="1" applyFill="1" applyBorder="1" applyAlignment="1">
      <alignment horizontal="right"/>
    </xf>
    <xf numFmtId="0" fontId="0" fillId="5" borderId="10" xfId="0" applyFill="1" applyBorder="1" applyAlignment="1">
      <alignment/>
    </xf>
    <xf numFmtId="178" fontId="0" fillId="25" borderId="0" xfId="0" applyNumberFormat="1" applyFont="1" applyFill="1" applyAlignment="1">
      <alignment horizontal="right"/>
    </xf>
    <xf numFmtId="178" fontId="0" fillId="25" borderId="0" xfId="0" applyNumberFormat="1" applyFill="1" applyAlignment="1">
      <alignment horizontal="right"/>
    </xf>
    <xf numFmtId="0" fontId="9" fillId="26" borderId="0" xfId="0" applyFont="1" applyFill="1" applyAlignment="1">
      <alignment/>
    </xf>
    <xf numFmtId="0" fontId="10" fillId="26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0" fillId="25" borderId="0" xfId="0" applyNumberFormat="1" applyFill="1" applyAlignment="1">
      <alignment horizontal="right"/>
    </xf>
    <xf numFmtId="3" fontId="12" fillId="25" borderId="0" xfId="0" applyNumberFormat="1" applyFont="1" applyFill="1" applyAlignment="1">
      <alignment horizontal="right"/>
    </xf>
    <xf numFmtId="3" fontId="12" fillId="25" borderId="0" xfId="0" applyNumberFormat="1" applyFont="1" applyFill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25" borderId="0" xfId="0" applyNumberFormat="1" applyFill="1" applyAlignment="1">
      <alignment/>
    </xf>
    <xf numFmtId="9" fontId="0" fillId="25" borderId="0" xfId="0" applyNumberFormat="1" applyFill="1" applyAlignment="1">
      <alignment/>
    </xf>
    <xf numFmtId="9" fontId="0" fillId="5" borderId="0" xfId="59" applyFill="1" applyAlignment="1">
      <alignment/>
    </xf>
    <xf numFmtId="9" fontId="3" fillId="26" borderId="0" xfId="59" applyFont="1" applyFill="1" applyAlignment="1">
      <alignment/>
    </xf>
    <xf numFmtId="9" fontId="0" fillId="26" borderId="0" xfId="59" applyFill="1" applyAlignment="1">
      <alignment/>
    </xf>
    <xf numFmtId="9" fontId="0" fillId="7" borderId="0" xfId="59" applyFont="1" applyFill="1" applyAlignment="1">
      <alignment horizontal="right"/>
    </xf>
    <xf numFmtId="9" fontId="0" fillId="7" borderId="0" xfId="59" applyFill="1" applyAlignment="1">
      <alignment/>
    </xf>
    <xf numFmtId="9" fontId="0" fillId="8" borderId="0" xfId="59" applyFont="1" applyFill="1" applyAlignment="1">
      <alignment horizontal="right"/>
    </xf>
    <xf numFmtId="9" fontId="0" fillId="8" borderId="0" xfId="59" applyFill="1" applyAlignment="1">
      <alignment/>
    </xf>
    <xf numFmtId="9" fontId="0" fillId="5" borderId="0" xfId="59" applyFont="1" applyFill="1" applyAlignment="1">
      <alignment horizontal="right"/>
    </xf>
    <xf numFmtId="9" fontId="0" fillId="24" borderId="0" xfId="59" applyFont="1" applyFill="1" applyAlignment="1">
      <alignment horizontal="right"/>
    </xf>
    <xf numFmtId="9" fontId="0" fillId="24" borderId="0" xfId="59" applyFill="1" applyAlignment="1">
      <alignment/>
    </xf>
    <xf numFmtId="9" fontId="0" fillId="4" borderId="0" xfId="59" applyFont="1" applyFill="1" applyAlignment="1">
      <alignment horizontal="right"/>
    </xf>
    <xf numFmtId="9" fontId="0" fillId="4" borderId="0" xfId="59" applyFill="1" applyAlignment="1">
      <alignment/>
    </xf>
    <xf numFmtId="9" fontId="11" fillId="0" borderId="0" xfId="59" applyFont="1" applyAlignment="1">
      <alignment/>
    </xf>
    <xf numFmtId="9" fontId="0" fillId="0" borderId="0" xfId="59" applyAlignment="1">
      <alignment/>
    </xf>
    <xf numFmtId="190" fontId="30" fillId="4" borderId="10" xfId="0" applyNumberFormat="1" applyFont="1" applyFill="1" applyBorder="1" applyAlignment="1">
      <alignment/>
    </xf>
    <xf numFmtId="190" fontId="30" fillId="24" borderId="10" xfId="0" applyNumberFormat="1" applyFont="1" applyFill="1" applyBorder="1" applyAlignment="1">
      <alignment/>
    </xf>
    <xf numFmtId="190" fontId="30" fillId="5" borderId="10" xfId="0" applyNumberFormat="1" applyFont="1" applyFill="1" applyBorder="1" applyAlignment="1">
      <alignment/>
    </xf>
    <xf numFmtId="190" fontId="30" fillId="8" borderId="10" xfId="0" applyNumberFormat="1" applyFont="1" applyFill="1" applyBorder="1" applyAlignment="1">
      <alignment/>
    </xf>
    <xf numFmtId="192" fontId="30" fillId="7" borderId="10" xfId="0" applyNumberFormat="1" applyFont="1" applyFill="1" applyBorder="1" applyAlignment="1">
      <alignment/>
    </xf>
    <xf numFmtId="0" fontId="10" fillId="7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4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view="pageBreakPreview" zoomScale="115" zoomScaleNormal="75" zoomScaleSheetLayoutView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140625" style="3" customWidth="1"/>
    <col min="2" max="2" width="30.7109375" style="0" customWidth="1"/>
    <col min="3" max="3" width="14.8515625" style="1" bestFit="1" customWidth="1"/>
    <col min="4" max="4" width="13.28125" style="0" customWidth="1"/>
    <col min="5" max="5" width="14.7109375" style="0" bestFit="1" customWidth="1"/>
    <col min="6" max="6" width="12.7109375" style="0" customWidth="1"/>
    <col min="7" max="7" width="16.8515625" style="0" bestFit="1" customWidth="1"/>
    <col min="8" max="8" width="12.7109375" style="0" customWidth="1"/>
    <col min="9" max="9" width="16.8515625" style="0" bestFit="1" customWidth="1"/>
    <col min="10" max="10" width="12.8515625" style="0" customWidth="1"/>
    <col min="11" max="11" width="16.28125" style="0" bestFit="1" customWidth="1"/>
    <col min="12" max="12" width="12.8515625" style="0" customWidth="1"/>
    <col min="13" max="13" width="12.7109375" style="0" bestFit="1" customWidth="1"/>
    <col min="14" max="14" width="11.421875" style="0" customWidth="1"/>
  </cols>
  <sheetData>
    <row r="1" spans="1:18" ht="21" customHeight="1">
      <c r="A1" s="45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R1" s="2"/>
    </row>
    <row r="2" spans="1:12" s="118" customFormat="1" ht="18">
      <c r="A2" s="116"/>
      <c r="B2" s="117"/>
      <c r="C2" s="145" t="s">
        <v>58</v>
      </c>
      <c r="D2" s="145"/>
      <c r="E2" s="148" t="s">
        <v>74</v>
      </c>
      <c r="F2" s="148"/>
      <c r="G2" s="149" t="s">
        <v>75</v>
      </c>
      <c r="H2" s="149"/>
      <c r="I2" s="146" t="s">
        <v>20</v>
      </c>
      <c r="J2" s="146"/>
      <c r="K2" s="147" t="s">
        <v>70</v>
      </c>
      <c r="L2" s="147"/>
    </row>
    <row r="3" spans="1:12" ht="20.25" customHeight="1">
      <c r="A3" s="41" t="s">
        <v>29</v>
      </c>
      <c r="B3" s="42"/>
      <c r="C3" s="50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41"/>
      <c r="B4" s="42" t="s">
        <v>3</v>
      </c>
      <c r="C4" s="120">
        <v>1</v>
      </c>
      <c r="D4" s="9" t="s">
        <v>59</v>
      </c>
      <c r="E4" s="76">
        <f>E6*3.415179</f>
        <v>0.9960938750000001</v>
      </c>
      <c r="F4" s="75" t="s">
        <v>59</v>
      </c>
      <c r="G4" s="96">
        <f>G6*3.415179</f>
        <v>4.098214800000001</v>
      </c>
      <c r="H4" s="95" t="s">
        <v>59</v>
      </c>
      <c r="I4" s="24">
        <f>I6*3.415179</f>
        <v>26.562503333333336</v>
      </c>
      <c r="J4" s="4" t="s">
        <v>59</v>
      </c>
      <c r="K4" s="38">
        <f>K6*3.415179</f>
        <v>68.30358000000001</v>
      </c>
      <c r="L4" s="34" t="s">
        <v>59</v>
      </c>
    </row>
    <row r="5" spans="1:12" ht="12.75">
      <c r="A5" s="41"/>
      <c r="B5" s="42"/>
      <c r="C5" s="11">
        <f>C6*102</f>
        <v>29.866660800000002</v>
      </c>
      <c r="D5" s="9" t="s">
        <v>2</v>
      </c>
      <c r="E5" s="77">
        <f>E6*102</f>
        <v>29.750000000000004</v>
      </c>
      <c r="F5" s="75" t="s">
        <v>2</v>
      </c>
      <c r="G5" s="98">
        <f>G6*102</f>
        <v>122.40000000000002</v>
      </c>
      <c r="H5" s="95" t="s">
        <v>2</v>
      </c>
      <c r="I5" s="22">
        <f>I6*102</f>
        <v>793.3333333333334</v>
      </c>
      <c r="J5" s="4" t="s">
        <v>2</v>
      </c>
      <c r="K5" s="38">
        <f>K6*102</f>
        <v>2040</v>
      </c>
      <c r="L5" s="34" t="s">
        <v>2</v>
      </c>
    </row>
    <row r="6" spans="1:12" ht="15.75">
      <c r="A6" s="41"/>
      <c r="B6" s="42"/>
      <c r="C6" s="10">
        <f>C4*0.2928104</f>
        <v>0.2928104</v>
      </c>
      <c r="D6" s="9" t="s">
        <v>19</v>
      </c>
      <c r="E6" s="78">
        <f>E7/E8</f>
        <v>0.2916666666666667</v>
      </c>
      <c r="F6" s="75" t="s">
        <v>19</v>
      </c>
      <c r="G6" s="123">
        <f>G7/600*720</f>
        <v>1.2000000000000002</v>
      </c>
      <c r="H6" s="95" t="s">
        <v>19</v>
      </c>
      <c r="I6" s="21">
        <f>I7/I8</f>
        <v>7.777777777777778</v>
      </c>
      <c r="J6" s="4" t="s">
        <v>19</v>
      </c>
      <c r="K6" s="61">
        <f>K7/K8</f>
        <v>20</v>
      </c>
      <c r="L6" s="34" t="s">
        <v>19</v>
      </c>
    </row>
    <row r="7" spans="1:12" ht="12.75">
      <c r="A7" s="41"/>
      <c r="B7" s="42" t="s">
        <v>66</v>
      </c>
      <c r="C7" s="8" t="s">
        <v>6</v>
      </c>
      <c r="D7" s="9"/>
      <c r="E7" s="7">
        <v>0.035</v>
      </c>
      <c r="F7" s="75" t="s">
        <v>7</v>
      </c>
      <c r="G7" s="124">
        <v>1</v>
      </c>
      <c r="H7" s="95" t="s">
        <v>7</v>
      </c>
      <c r="I7" s="7">
        <v>1.4</v>
      </c>
      <c r="J7" s="4" t="s">
        <v>7</v>
      </c>
      <c r="K7" s="74">
        <v>5</v>
      </c>
      <c r="L7" s="34" t="s">
        <v>7</v>
      </c>
    </row>
    <row r="8" spans="1:12" ht="12.75">
      <c r="A8" s="41"/>
      <c r="B8" s="42" t="s">
        <v>81</v>
      </c>
      <c r="C8" s="8" t="s">
        <v>6</v>
      </c>
      <c r="D8" s="9"/>
      <c r="E8" s="125">
        <v>0.12</v>
      </c>
      <c r="F8" s="75"/>
      <c r="G8" s="126">
        <f>G7/(G9/3.6)</f>
        <v>0.25909090909090904</v>
      </c>
      <c r="H8" s="95"/>
      <c r="I8" s="125">
        <v>0.18</v>
      </c>
      <c r="J8" s="4"/>
      <c r="K8" s="125">
        <v>0.25</v>
      </c>
      <c r="L8" s="34"/>
    </row>
    <row r="9" spans="1:12" ht="12.75">
      <c r="A9" s="41"/>
      <c r="B9" s="42" t="s">
        <v>4</v>
      </c>
      <c r="C9" s="11">
        <f>C5/100*3.6/85%</f>
        <v>1.2649409280000001</v>
      </c>
      <c r="D9" s="9" t="s">
        <v>5</v>
      </c>
      <c r="E9" s="76">
        <f>(E7/E8)*3.6/65%</f>
        <v>1.6153846153846154</v>
      </c>
      <c r="F9" s="75" t="s">
        <v>5</v>
      </c>
      <c r="G9" s="98">
        <f>(G6+G7)*3.6/57%</f>
        <v>13.894736842105265</v>
      </c>
      <c r="H9" s="95" t="s">
        <v>5</v>
      </c>
      <c r="I9" s="22">
        <f>(I6+I7)*3.6/60%</f>
        <v>55.06666666666667</v>
      </c>
      <c r="J9" s="4" t="s">
        <v>5</v>
      </c>
      <c r="K9" s="38">
        <f>(K6+K7)*3.6/70%</f>
        <v>128.57142857142858</v>
      </c>
      <c r="L9" s="34" t="s">
        <v>5</v>
      </c>
    </row>
    <row r="10" spans="1:12" ht="20.25" customHeight="1">
      <c r="A10" s="41" t="s">
        <v>30</v>
      </c>
      <c r="B10" s="42"/>
      <c r="C10" s="50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2.75">
      <c r="A11" s="41"/>
      <c r="B11" s="42" t="s">
        <v>37</v>
      </c>
      <c r="C11" s="10">
        <v>18.6</v>
      </c>
      <c r="D11" s="9" t="s">
        <v>40</v>
      </c>
      <c r="E11" s="79">
        <f>C11</f>
        <v>18.6</v>
      </c>
      <c r="F11" s="75" t="s">
        <v>40</v>
      </c>
      <c r="G11" s="97">
        <f>E11</f>
        <v>18.6</v>
      </c>
      <c r="H11" s="95" t="s">
        <v>40</v>
      </c>
      <c r="I11" s="21">
        <f>C11</f>
        <v>18.6</v>
      </c>
      <c r="J11" s="4" t="s">
        <v>40</v>
      </c>
      <c r="K11" s="61">
        <f>C11</f>
        <v>18.6</v>
      </c>
      <c r="L11" s="34" t="s">
        <v>40</v>
      </c>
    </row>
    <row r="12" spans="1:12" ht="12.75">
      <c r="A12" s="41"/>
      <c r="B12" s="42"/>
      <c r="C12" s="10">
        <f>C11*(1-C13)-80*4.17*C13/1000-C13*2.441*2.778/10*3.6</f>
        <v>12.187561416</v>
      </c>
      <c r="D12" s="9" t="s">
        <v>55</v>
      </c>
      <c r="E12" s="79">
        <f>E11*(1-E13)-80*4.17*E13/1000-E13*2.441*2.778/10*3.6</f>
        <v>12.187561416</v>
      </c>
      <c r="F12" s="75" t="s">
        <v>55</v>
      </c>
      <c r="G12" s="97">
        <f>G11*(1-G13)-80*4.17*G13/1000-G13*2.441*2.778/10*3.6</f>
        <v>12.187561416</v>
      </c>
      <c r="H12" s="95" t="s">
        <v>55</v>
      </c>
      <c r="I12" s="21">
        <f>I11*(1-I13)-80*4.17*I13/1000-I13*2.441*2.778/10*3.6</f>
        <v>12.187561416</v>
      </c>
      <c r="J12" s="4" t="s">
        <v>55</v>
      </c>
      <c r="K12" s="61">
        <f>K11*(1-K13)-80*4.17*K13/1000-K13*2.441*2.778/10*3.6</f>
        <v>12.187561416</v>
      </c>
      <c r="L12" s="34" t="s">
        <v>55</v>
      </c>
    </row>
    <row r="13" spans="1:12" ht="12.75">
      <c r="A13" s="41"/>
      <c r="B13" s="42" t="s">
        <v>8</v>
      </c>
      <c r="C13" s="39">
        <v>0.3</v>
      </c>
      <c r="D13" s="9"/>
      <c r="E13" s="80">
        <f>C13</f>
        <v>0.3</v>
      </c>
      <c r="F13" s="75"/>
      <c r="G13" s="99">
        <f>C13</f>
        <v>0.3</v>
      </c>
      <c r="H13" s="95"/>
      <c r="I13" s="23">
        <f>C13</f>
        <v>0.3</v>
      </c>
      <c r="J13" s="4"/>
      <c r="K13" s="62">
        <f>C13</f>
        <v>0.3</v>
      </c>
      <c r="L13" s="34"/>
    </row>
    <row r="14" spans="1:12" ht="12.75">
      <c r="A14" s="41"/>
      <c r="B14" s="42" t="s">
        <v>1</v>
      </c>
      <c r="C14" s="10">
        <f>C15*(1-C13)</f>
        <v>0.07265265128736563</v>
      </c>
      <c r="D14" s="9" t="s">
        <v>39</v>
      </c>
      <c r="E14" s="79">
        <f>E15*(1-E13)</f>
        <v>0.09278059754306069</v>
      </c>
      <c r="F14" s="75" t="s">
        <v>39</v>
      </c>
      <c r="G14" s="97">
        <f>G15*(1-G13)</f>
        <v>0.7980526585658754</v>
      </c>
      <c r="H14" s="95" t="s">
        <v>39</v>
      </c>
      <c r="I14" s="21">
        <f>I15*(1-I13)</f>
        <v>3.162787480690113</v>
      </c>
      <c r="J14" s="4" t="s">
        <v>39</v>
      </c>
      <c r="K14" s="61">
        <f>K15*(1-K13)</f>
        <v>7.384578171794626</v>
      </c>
      <c r="L14" s="34" t="s">
        <v>39</v>
      </c>
    </row>
    <row r="15" spans="1:12" ht="12.75">
      <c r="A15" s="41"/>
      <c r="B15" s="42"/>
      <c r="C15" s="10">
        <f>C$9/C12</f>
        <v>0.10378950183909376</v>
      </c>
      <c r="D15" s="9" t="s">
        <v>41</v>
      </c>
      <c r="E15" s="79">
        <f>E$9/E12</f>
        <v>0.132543710775801</v>
      </c>
      <c r="F15" s="75" t="s">
        <v>41</v>
      </c>
      <c r="G15" s="97">
        <f>G$9/G12</f>
        <v>1.1400752265226792</v>
      </c>
      <c r="H15" s="95" t="s">
        <v>41</v>
      </c>
      <c r="I15" s="21">
        <f>I$9/I12</f>
        <v>4.518267829557304</v>
      </c>
      <c r="J15" s="4" t="s">
        <v>41</v>
      </c>
      <c r="K15" s="61">
        <f>K$9/K12</f>
        <v>10.549397388278038</v>
      </c>
      <c r="L15" s="34" t="s">
        <v>41</v>
      </c>
    </row>
    <row r="16" spans="1:12" ht="12.75">
      <c r="A16" s="41"/>
      <c r="B16" s="42"/>
      <c r="C16" s="11">
        <f>ROUND(C15*2204,-1)</f>
        <v>230</v>
      </c>
      <c r="D16" s="9" t="s">
        <v>78</v>
      </c>
      <c r="E16" s="81">
        <f>ROUND(E15*2204,-1)</f>
        <v>290</v>
      </c>
      <c r="F16" s="75" t="s">
        <v>78</v>
      </c>
      <c r="G16" s="100">
        <f>ROUND(G15*2204,-2)</f>
        <v>2500</v>
      </c>
      <c r="H16" s="95" t="s">
        <v>78</v>
      </c>
      <c r="I16" s="51">
        <f>ROUND(I15*2204,-2)</f>
        <v>10000</v>
      </c>
      <c r="J16" s="4" t="s">
        <v>78</v>
      </c>
      <c r="K16" s="63">
        <f>ROUND(K15*2204,-2)</f>
        <v>23300</v>
      </c>
      <c r="L16" s="34" t="s">
        <v>78</v>
      </c>
    </row>
    <row r="17" spans="1:12" ht="12.75">
      <c r="A17" s="41"/>
      <c r="B17" s="50" t="s">
        <v>56</v>
      </c>
      <c r="C17" s="12">
        <f>ROUND(C26*C15,-1)</f>
        <v>310</v>
      </c>
      <c r="D17" s="9" t="s">
        <v>54</v>
      </c>
      <c r="E17" s="81">
        <f>ROUND(E26*E15,-1)</f>
        <v>1060</v>
      </c>
      <c r="F17" s="75" t="s">
        <v>54</v>
      </c>
      <c r="G17" s="100">
        <f>ROUND(G26*G15,-2)</f>
        <v>9100</v>
      </c>
      <c r="H17" s="95" t="s">
        <v>54</v>
      </c>
      <c r="I17" s="51">
        <f>ROUND(I26*I15,-2)</f>
        <v>33900</v>
      </c>
      <c r="J17" s="4" t="s">
        <v>54</v>
      </c>
      <c r="K17" s="63">
        <f>ROUND(K26*K15,-2)</f>
        <v>79100</v>
      </c>
      <c r="L17" s="34" t="s">
        <v>54</v>
      </c>
    </row>
    <row r="18" spans="1:12" ht="12.75">
      <c r="A18" s="41"/>
      <c r="B18" s="50"/>
      <c r="C18" s="12">
        <f>ROUND(C26*C14,-1)</f>
        <v>220</v>
      </c>
      <c r="D18" s="9" t="s">
        <v>68</v>
      </c>
      <c r="E18" s="81">
        <f>ROUND(E26*E14,-1)</f>
        <v>740</v>
      </c>
      <c r="F18" s="75" t="s">
        <v>68</v>
      </c>
      <c r="G18" s="100">
        <f>ROUND(G26*G14,-2)</f>
        <v>6400</v>
      </c>
      <c r="H18" s="95" t="s">
        <v>68</v>
      </c>
      <c r="I18" s="51">
        <f>ROUND(I26*I14,-2)</f>
        <v>23700</v>
      </c>
      <c r="J18" s="4" t="s">
        <v>68</v>
      </c>
      <c r="K18" s="63">
        <f>ROUND(K26*K14,-2)</f>
        <v>55400</v>
      </c>
      <c r="L18" s="34" t="s">
        <v>68</v>
      </c>
    </row>
    <row r="19" spans="1:12" ht="15.75">
      <c r="A19" s="41"/>
      <c r="B19" s="50"/>
      <c r="C19" s="12">
        <f>ROUND(C18*C11,-2)</f>
        <v>4100</v>
      </c>
      <c r="D19" s="9" t="s">
        <v>80</v>
      </c>
      <c r="E19" s="81">
        <f>ROUND(E18*E11,-2)</f>
        <v>13800</v>
      </c>
      <c r="F19" s="75" t="s">
        <v>80</v>
      </c>
      <c r="G19" s="100">
        <f>ROUND(G18*G11,-3)</f>
        <v>119000</v>
      </c>
      <c r="H19" s="95" t="s">
        <v>80</v>
      </c>
      <c r="I19" s="51">
        <f>ROUND(I18*I11,-3)</f>
        <v>441000</v>
      </c>
      <c r="J19" s="4" t="s">
        <v>80</v>
      </c>
      <c r="K19" s="63">
        <f>ROUND(K18*K11,-3)</f>
        <v>1030000</v>
      </c>
      <c r="L19" s="34" t="s">
        <v>80</v>
      </c>
    </row>
    <row r="20" spans="1:12" ht="15.75">
      <c r="A20" s="41"/>
      <c r="B20" s="42"/>
      <c r="C20" s="11"/>
      <c r="D20" s="9"/>
      <c r="E20" s="81">
        <f>ROUND(E19/(E40/1000),-2)</f>
        <v>49300</v>
      </c>
      <c r="F20" s="75" t="s">
        <v>79</v>
      </c>
      <c r="G20" s="100">
        <f>ROUND(G19/(G40/1000),-2)</f>
        <v>16500</v>
      </c>
      <c r="H20" s="95" t="s">
        <v>79</v>
      </c>
      <c r="I20" s="51">
        <f>ROUND(I19/(I40/1000),-2)</f>
        <v>45200</v>
      </c>
      <c r="J20" s="4" t="s">
        <v>79</v>
      </c>
      <c r="K20" s="63">
        <f>ROUND(K19/(K40/1000),-2)</f>
        <v>28000</v>
      </c>
      <c r="L20" s="34" t="s">
        <v>79</v>
      </c>
    </row>
    <row r="21" spans="1:12" ht="12.75">
      <c r="A21" s="41"/>
      <c r="B21" s="42" t="s">
        <v>51</v>
      </c>
      <c r="C21" s="57">
        <v>45</v>
      </c>
      <c r="D21" s="9" t="s">
        <v>67</v>
      </c>
      <c r="E21" s="82">
        <f>C21</f>
        <v>45</v>
      </c>
      <c r="F21" s="75" t="s">
        <v>67</v>
      </c>
      <c r="G21" s="101">
        <f>E21</f>
        <v>45</v>
      </c>
      <c r="H21" s="95" t="s">
        <v>67</v>
      </c>
      <c r="I21" s="58">
        <f>C21</f>
        <v>45</v>
      </c>
      <c r="J21" s="4" t="s">
        <v>67</v>
      </c>
      <c r="K21" s="64">
        <f>C21</f>
        <v>45</v>
      </c>
      <c r="L21" s="34" t="s">
        <v>67</v>
      </c>
    </row>
    <row r="22" spans="1:12" ht="12.75">
      <c r="A22" s="41"/>
      <c r="B22" s="42"/>
      <c r="C22" s="11">
        <f>C21*(1-C13)</f>
        <v>31.499999999999996</v>
      </c>
      <c r="D22" s="9" t="s">
        <v>77</v>
      </c>
      <c r="E22" s="82">
        <f>E21*(1-E13)</f>
        <v>31.499999999999996</v>
      </c>
      <c r="F22" s="75" t="s">
        <v>77</v>
      </c>
      <c r="G22" s="101">
        <f>G21*(1-G13)</f>
        <v>31.499999999999996</v>
      </c>
      <c r="H22" s="95" t="s">
        <v>77</v>
      </c>
      <c r="I22" s="58">
        <f>I21*(1-I13)</f>
        <v>31.499999999999996</v>
      </c>
      <c r="J22" s="4" t="s">
        <v>77</v>
      </c>
      <c r="K22" s="64">
        <f>K21*(1-K13)</f>
        <v>31.499999999999996</v>
      </c>
      <c r="L22" s="34" t="s">
        <v>77</v>
      </c>
    </row>
    <row r="23" spans="1:12" ht="12.75">
      <c r="A23" s="41"/>
      <c r="B23" s="42"/>
      <c r="C23" s="52">
        <f>C21/C11</f>
        <v>2.419354838709677</v>
      </c>
      <c r="D23" s="9" t="s">
        <v>18</v>
      </c>
      <c r="E23" s="79">
        <f>E21/E11</f>
        <v>2.419354838709677</v>
      </c>
      <c r="F23" s="75" t="s">
        <v>18</v>
      </c>
      <c r="G23" s="97">
        <f>G21/G11</f>
        <v>2.419354838709677</v>
      </c>
      <c r="H23" s="95" t="s">
        <v>18</v>
      </c>
      <c r="I23" s="21">
        <f>I21/I11</f>
        <v>2.419354838709677</v>
      </c>
      <c r="J23" s="4" t="s">
        <v>18</v>
      </c>
      <c r="K23" s="61">
        <f>K21/K11</f>
        <v>2.419354838709677</v>
      </c>
      <c r="L23" s="34" t="s">
        <v>18</v>
      </c>
    </row>
    <row r="24" spans="1:12" ht="15.75">
      <c r="A24" s="41"/>
      <c r="B24" s="42"/>
      <c r="C24" s="52">
        <f>C23*3.6</f>
        <v>8.709677419354838</v>
      </c>
      <c r="D24" s="9" t="s">
        <v>83</v>
      </c>
      <c r="E24" s="79">
        <f>E23*3.6</f>
        <v>8.709677419354838</v>
      </c>
      <c r="F24" s="75" t="s">
        <v>83</v>
      </c>
      <c r="G24" s="97">
        <f>G23*3.6</f>
        <v>8.709677419354838</v>
      </c>
      <c r="H24" s="95" t="s">
        <v>83</v>
      </c>
      <c r="I24" s="21">
        <f>I23*3.6</f>
        <v>8.709677419354838</v>
      </c>
      <c r="J24" s="4" t="s">
        <v>83</v>
      </c>
      <c r="K24" s="61">
        <f>K23*3.6</f>
        <v>8.709677419354838</v>
      </c>
      <c r="L24" s="34" t="s">
        <v>83</v>
      </c>
    </row>
    <row r="25" spans="1:12" ht="20.25" customHeight="1">
      <c r="A25" s="41" t="s">
        <v>31</v>
      </c>
      <c r="B25" s="42"/>
      <c r="C25" s="50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2.75">
      <c r="A26" s="41"/>
      <c r="B26" s="42" t="s">
        <v>42</v>
      </c>
      <c r="C26" s="40">
        <v>3000</v>
      </c>
      <c r="D26" s="9" t="s">
        <v>13</v>
      </c>
      <c r="E26" s="40">
        <v>8000</v>
      </c>
      <c r="F26" s="75" t="s">
        <v>13</v>
      </c>
      <c r="G26" s="40">
        <v>8000</v>
      </c>
      <c r="H26" s="95" t="s">
        <v>13</v>
      </c>
      <c r="I26" s="40">
        <v>7500</v>
      </c>
      <c r="J26" s="4" t="s">
        <v>13</v>
      </c>
      <c r="K26" s="40">
        <v>7500</v>
      </c>
      <c r="L26" s="34" t="s">
        <v>13</v>
      </c>
    </row>
    <row r="27" spans="1:12" ht="12.75">
      <c r="A27" s="41"/>
      <c r="B27" s="42"/>
      <c r="C27" s="53">
        <f>C26/24</f>
        <v>125</v>
      </c>
      <c r="D27" s="9" t="s">
        <v>82</v>
      </c>
      <c r="E27" s="83">
        <f>E26/24</f>
        <v>333.3333333333333</v>
      </c>
      <c r="F27" s="75" t="s">
        <v>82</v>
      </c>
      <c r="G27" s="102">
        <f>G26/24</f>
        <v>333.3333333333333</v>
      </c>
      <c r="H27" s="95" t="s">
        <v>82</v>
      </c>
      <c r="I27" s="59">
        <f>I26/24</f>
        <v>312.5</v>
      </c>
      <c r="J27" s="4" t="s">
        <v>82</v>
      </c>
      <c r="K27" s="65">
        <f>K26/24</f>
        <v>312.5</v>
      </c>
      <c r="L27" s="34" t="s">
        <v>82</v>
      </c>
    </row>
    <row r="28" spans="1:14" ht="12.75">
      <c r="A28" s="41"/>
      <c r="B28" s="42" t="s">
        <v>10</v>
      </c>
      <c r="C28" s="53">
        <f>ROUND(C26*C6*3.6,-2)</f>
        <v>3200</v>
      </c>
      <c r="D28" s="9" t="s">
        <v>9</v>
      </c>
      <c r="E28" s="83">
        <f>ROUND(E26*E6*3.6,-3)</f>
        <v>8000</v>
      </c>
      <c r="F28" s="75" t="s">
        <v>9</v>
      </c>
      <c r="G28" s="102">
        <f>ROUND(G26*G6*3.6,-3)</f>
        <v>35000</v>
      </c>
      <c r="H28" s="95" t="s">
        <v>9</v>
      </c>
      <c r="I28" s="59">
        <f>ROUND(I26*I6*3.6,-3)</f>
        <v>210000</v>
      </c>
      <c r="J28" s="4" t="s">
        <v>9</v>
      </c>
      <c r="K28" s="65">
        <f>ROUND(K26*K6*3.6,-3)</f>
        <v>540000</v>
      </c>
      <c r="L28" s="34" t="s">
        <v>9</v>
      </c>
      <c r="N28">
        <f>C28/C71</f>
        <v>85952.18909481601</v>
      </c>
    </row>
    <row r="29" spans="1:13" ht="15">
      <c r="A29" s="41"/>
      <c r="B29" s="42"/>
      <c r="C29" s="53">
        <f>ROUND(C26*C6,-2)</f>
        <v>900</v>
      </c>
      <c r="D29" s="9" t="s">
        <v>69</v>
      </c>
      <c r="E29" s="83">
        <f>ROUND(E26*E6,-3)</f>
        <v>2000</v>
      </c>
      <c r="F29" s="75" t="s">
        <v>69</v>
      </c>
      <c r="G29" s="102">
        <f>ROUND(G26*G6,-3)</f>
        <v>10000</v>
      </c>
      <c r="H29" s="95" t="s">
        <v>69</v>
      </c>
      <c r="I29" s="59">
        <f>ROUND(I26*I6,-3)</f>
        <v>58000</v>
      </c>
      <c r="J29" s="4" t="s">
        <v>69</v>
      </c>
      <c r="K29" s="65">
        <f>ROUND(K26*K6,-3)</f>
        <v>150000</v>
      </c>
      <c r="L29" s="34" t="s">
        <v>69</v>
      </c>
      <c r="M29" s="119">
        <f>3716*0.2</f>
        <v>743.2</v>
      </c>
    </row>
    <row r="30" spans="1:12" ht="12.75">
      <c r="A30" s="41"/>
      <c r="B30" s="42"/>
      <c r="C30" s="53">
        <f>ROUND(C26*C6*3.6*0.9478171,-2)</f>
        <v>3000</v>
      </c>
      <c r="D30" s="9" t="s">
        <v>60</v>
      </c>
      <c r="E30" s="83">
        <f>ROUND(E26*E6*3.6*0.9478171,-3)</f>
        <v>8000</v>
      </c>
      <c r="F30" s="75" t="s">
        <v>60</v>
      </c>
      <c r="G30" s="102">
        <f>ROUND(G26*G6*3.6*0.9478171,-3)</f>
        <v>33000</v>
      </c>
      <c r="H30" s="95" t="s">
        <v>60</v>
      </c>
      <c r="I30" s="59">
        <f>ROUND(I26*I6*3.6*0.9478171,-3)</f>
        <v>199000</v>
      </c>
      <c r="J30" s="4" t="s">
        <v>60</v>
      </c>
      <c r="K30" s="65">
        <f>ROUND(K26*K6*3.6*0.9478171,-3)</f>
        <v>512000</v>
      </c>
      <c r="L30" s="34" t="s">
        <v>60</v>
      </c>
    </row>
    <row r="31" spans="1:12" ht="12.75">
      <c r="A31" s="41"/>
      <c r="B31" s="42" t="s">
        <v>14</v>
      </c>
      <c r="C31" s="56">
        <f>100%*C28</f>
        <v>3200</v>
      </c>
      <c r="D31" s="9" t="s">
        <v>9</v>
      </c>
      <c r="E31" s="40">
        <f>100%*E28</f>
        <v>8000</v>
      </c>
      <c r="F31" s="75" t="s">
        <v>9</v>
      </c>
      <c r="G31" s="40">
        <f>100%*G28</f>
        <v>35000</v>
      </c>
      <c r="H31" s="95" t="s">
        <v>9</v>
      </c>
      <c r="I31" s="40">
        <f>100%*I28</f>
        <v>210000</v>
      </c>
      <c r="J31" s="4" t="s">
        <v>9</v>
      </c>
      <c r="K31" s="40">
        <f>100%*K28</f>
        <v>540000</v>
      </c>
      <c r="L31" s="34" t="s">
        <v>9</v>
      </c>
    </row>
    <row r="32" spans="1:12" ht="12.75">
      <c r="A32" s="41"/>
      <c r="B32" s="42"/>
      <c r="C32" s="53">
        <f>ROUND(C31/3.6,-2)</f>
        <v>900</v>
      </c>
      <c r="D32" s="9" t="s">
        <v>69</v>
      </c>
      <c r="E32" s="83">
        <f>ROUND(E31/3.6,-3)</f>
        <v>2000</v>
      </c>
      <c r="F32" s="75" t="s">
        <v>69</v>
      </c>
      <c r="G32" s="102">
        <f>ROUND(G31/3.6,-3)</f>
        <v>10000</v>
      </c>
      <c r="H32" s="95" t="s">
        <v>69</v>
      </c>
      <c r="I32" s="59">
        <f>ROUND(I31/3.6,-3)</f>
        <v>58000</v>
      </c>
      <c r="J32" s="4" t="s">
        <v>69</v>
      </c>
      <c r="K32" s="65">
        <f>ROUND(K31/3.6,-3)</f>
        <v>150000</v>
      </c>
      <c r="L32" s="34" t="s">
        <v>69</v>
      </c>
    </row>
    <row r="33" spans="1:12" ht="12.75">
      <c r="A33" s="41"/>
      <c r="B33" s="42"/>
      <c r="C33" s="53">
        <f>ROUND(C31*0.9478171,-2)</f>
        <v>3000</v>
      </c>
      <c r="D33" s="9" t="s">
        <v>60</v>
      </c>
      <c r="E33" s="84">
        <f>ROUND(E31*0.9478171,-3)</f>
        <v>8000</v>
      </c>
      <c r="F33" s="75" t="s">
        <v>60</v>
      </c>
      <c r="G33" s="103">
        <f>ROUND(G31*0.9478171,-3)</f>
        <v>33000</v>
      </c>
      <c r="H33" s="95" t="s">
        <v>60</v>
      </c>
      <c r="I33" s="25">
        <f>ROUND(I31*0.9478171,-3)</f>
        <v>199000</v>
      </c>
      <c r="J33" s="4" t="s">
        <v>60</v>
      </c>
      <c r="K33" s="66">
        <f>ROUND(K31*0.9478171,-3)</f>
        <v>512000</v>
      </c>
      <c r="L33" s="34" t="s">
        <v>60</v>
      </c>
    </row>
    <row r="34" spans="1:12" ht="12.75">
      <c r="A34" s="41"/>
      <c r="B34" s="42" t="s">
        <v>57</v>
      </c>
      <c r="C34" s="122">
        <f>100%*C31</f>
        <v>3200</v>
      </c>
      <c r="D34" s="9" t="s">
        <v>9</v>
      </c>
      <c r="E34" s="122">
        <f>C34</f>
        <v>3200</v>
      </c>
      <c r="F34" s="75" t="s">
        <v>9</v>
      </c>
      <c r="G34" s="121">
        <f>100%*G31</f>
        <v>35000</v>
      </c>
      <c r="H34" s="95" t="s">
        <v>9</v>
      </c>
      <c r="I34" s="121">
        <v>50000</v>
      </c>
      <c r="J34" s="4" t="s">
        <v>9</v>
      </c>
      <c r="K34" s="121">
        <f>I34</f>
        <v>50000</v>
      </c>
      <c r="L34" s="34" t="s">
        <v>9</v>
      </c>
    </row>
    <row r="35" spans="1:13" s="139" customFormat="1" ht="15">
      <c r="A35" s="127"/>
      <c r="B35" s="128"/>
      <c r="C35" s="129">
        <f>C34/C31</f>
        <v>1</v>
      </c>
      <c r="D35" s="130"/>
      <c r="E35" s="131">
        <f>E34/E31</f>
        <v>0.4</v>
      </c>
      <c r="F35" s="132"/>
      <c r="G35" s="133">
        <f>G34/G31</f>
        <v>1</v>
      </c>
      <c r="H35" s="126"/>
      <c r="I35" s="134">
        <f>I34/I31</f>
        <v>0.23809523809523808</v>
      </c>
      <c r="J35" s="135"/>
      <c r="K35" s="136">
        <f>K34/K31</f>
        <v>0.09259259259259259</v>
      </c>
      <c r="L35" s="137"/>
      <c r="M35" s="138"/>
    </row>
    <row r="36" spans="1:12" ht="12.75">
      <c r="A36" s="41"/>
      <c r="B36" s="42" t="s">
        <v>65</v>
      </c>
      <c r="C36" s="114">
        <v>8</v>
      </c>
      <c r="D36" s="13" t="s">
        <v>18</v>
      </c>
      <c r="E36" s="115">
        <v>0</v>
      </c>
      <c r="F36" s="75" t="s">
        <v>18</v>
      </c>
      <c r="G36" s="115">
        <f>C36</f>
        <v>8</v>
      </c>
      <c r="H36" s="95" t="s">
        <v>18</v>
      </c>
      <c r="I36" s="115">
        <v>2.4</v>
      </c>
      <c r="J36" s="4" t="s">
        <v>18</v>
      </c>
      <c r="K36" s="115">
        <v>2.4</v>
      </c>
      <c r="L36" s="34" t="s">
        <v>18</v>
      </c>
    </row>
    <row r="37" spans="1:12" ht="12.75">
      <c r="A37" s="41"/>
      <c r="B37" s="42"/>
      <c r="C37" s="52">
        <f>C36*3.6</f>
        <v>28.8</v>
      </c>
      <c r="D37" s="9" t="s">
        <v>17</v>
      </c>
      <c r="E37" s="85">
        <f>E36*3.6</f>
        <v>0</v>
      </c>
      <c r="F37" s="75" t="s">
        <v>17</v>
      </c>
      <c r="G37" s="104">
        <f>G36*3.6</f>
        <v>28.8</v>
      </c>
      <c r="H37" s="95" t="s">
        <v>17</v>
      </c>
      <c r="I37" s="60">
        <f>I36*3.6</f>
        <v>8.64</v>
      </c>
      <c r="J37" s="4" t="s">
        <v>17</v>
      </c>
      <c r="K37" s="67">
        <f>K36*3.6</f>
        <v>8.64</v>
      </c>
      <c r="L37" s="34" t="s">
        <v>17</v>
      </c>
    </row>
    <row r="38" spans="1:12" ht="12.75" hidden="1">
      <c r="A38" s="41"/>
      <c r="B38" s="42" t="s">
        <v>64</v>
      </c>
      <c r="C38" s="14">
        <f>C36*C71</f>
        <v>0.29784</v>
      </c>
      <c r="D38" s="13" t="s">
        <v>50</v>
      </c>
      <c r="E38" s="86">
        <f>A38</f>
        <v>0</v>
      </c>
      <c r="F38" s="87" t="s">
        <v>50</v>
      </c>
      <c r="G38" s="105">
        <f>E38</f>
        <v>0</v>
      </c>
      <c r="H38" s="106" t="s">
        <v>50</v>
      </c>
      <c r="I38" s="26">
        <f>C38</f>
        <v>0.29784</v>
      </c>
      <c r="J38" s="27" t="s">
        <v>50</v>
      </c>
      <c r="K38" s="68">
        <f>I38</f>
        <v>0.29784</v>
      </c>
      <c r="L38" s="69" t="s">
        <v>50</v>
      </c>
    </row>
    <row r="39" spans="1:12" ht="20.25" customHeight="1">
      <c r="A39" s="41" t="s">
        <v>32</v>
      </c>
      <c r="B39" s="42"/>
      <c r="C39" s="50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9.5" customHeight="1">
      <c r="A40" s="41"/>
      <c r="B40" s="42" t="s">
        <v>11</v>
      </c>
      <c r="C40" s="12" t="s">
        <v>6</v>
      </c>
      <c r="D40" s="9"/>
      <c r="E40" s="84">
        <f>E26*(E7)</f>
        <v>280</v>
      </c>
      <c r="F40" s="75" t="s">
        <v>12</v>
      </c>
      <c r="G40" s="103">
        <f>G26*(G7-0.1)</f>
        <v>7200</v>
      </c>
      <c r="H40" s="95" t="s">
        <v>12</v>
      </c>
      <c r="I40" s="25">
        <f>I26*(I7-0.1)</f>
        <v>9749.999999999998</v>
      </c>
      <c r="J40" s="4" t="s">
        <v>12</v>
      </c>
      <c r="K40" s="66">
        <f>K26*(K7-0.1)</f>
        <v>36750</v>
      </c>
      <c r="L40" s="34" t="s">
        <v>12</v>
      </c>
    </row>
    <row r="41" spans="1:12" ht="12.75">
      <c r="A41" s="41"/>
      <c r="B41" s="42" t="s">
        <v>16</v>
      </c>
      <c r="C41" s="12" t="s">
        <v>6</v>
      </c>
      <c r="D41" s="9"/>
      <c r="E41" s="7">
        <v>12.5</v>
      </c>
      <c r="F41" s="75" t="s">
        <v>27</v>
      </c>
      <c r="G41" s="7">
        <v>9</v>
      </c>
      <c r="H41" s="95" t="s">
        <v>27</v>
      </c>
      <c r="I41" s="7">
        <v>21</v>
      </c>
      <c r="J41" s="4" t="s">
        <v>27</v>
      </c>
      <c r="K41" s="7">
        <v>12.5</v>
      </c>
      <c r="L41" s="34" t="s">
        <v>27</v>
      </c>
    </row>
    <row r="42" spans="1:12" ht="12.75">
      <c r="A42" s="41"/>
      <c r="B42" s="42"/>
      <c r="C42" s="12"/>
      <c r="D42" s="9"/>
      <c r="E42" s="84">
        <f>E41*10</f>
        <v>125</v>
      </c>
      <c r="F42" s="75" t="s">
        <v>17</v>
      </c>
      <c r="G42" s="103">
        <f>G41*10</f>
        <v>90</v>
      </c>
      <c r="H42" s="95" t="s">
        <v>17</v>
      </c>
      <c r="I42" s="25">
        <f>I41*10</f>
        <v>210</v>
      </c>
      <c r="J42" s="4" t="s">
        <v>17</v>
      </c>
      <c r="K42" s="66">
        <f>K41*10</f>
        <v>125</v>
      </c>
      <c r="L42" s="34" t="s">
        <v>17</v>
      </c>
    </row>
    <row r="43" spans="1:12" ht="20.25" customHeight="1">
      <c r="A43" s="41" t="s">
        <v>33</v>
      </c>
      <c r="B43" s="42"/>
      <c r="C43" s="50"/>
      <c r="D43" s="42"/>
      <c r="E43" s="42"/>
      <c r="F43" s="42"/>
      <c r="G43" s="42"/>
      <c r="H43" s="42"/>
      <c r="I43" s="42"/>
      <c r="J43" s="42"/>
      <c r="K43" s="42"/>
      <c r="L43" s="42"/>
    </row>
    <row r="44" spans="1:13" ht="12.75">
      <c r="A44" s="41"/>
      <c r="B44" s="42" t="s">
        <v>73</v>
      </c>
      <c r="C44" s="15">
        <v>-3500000</v>
      </c>
      <c r="D44" s="16"/>
      <c r="E44" s="88">
        <f>-900000</f>
        <v>-900000</v>
      </c>
      <c r="F44" s="75"/>
      <c r="G44" s="107">
        <f>-14000000</f>
        <v>-14000000</v>
      </c>
      <c r="H44" s="95"/>
      <c r="I44" s="28">
        <f>-12000000</f>
        <v>-12000000</v>
      </c>
      <c r="J44" s="4"/>
      <c r="K44" s="35">
        <v>-20000000</v>
      </c>
      <c r="L44" s="34"/>
      <c r="M44" s="6"/>
    </row>
    <row r="45" spans="1:12" ht="12.75">
      <c r="A45" s="41"/>
      <c r="B45" s="42" t="s">
        <v>23</v>
      </c>
      <c r="C45" s="49">
        <v>7</v>
      </c>
      <c r="D45" s="9" t="s">
        <v>21</v>
      </c>
      <c r="E45" s="79">
        <f>C45</f>
        <v>7</v>
      </c>
      <c r="F45" s="75" t="s">
        <v>21</v>
      </c>
      <c r="G45" s="97">
        <f>E45</f>
        <v>7</v>
      </c>
      <c r="H45" s="95" t="s">
        <v>21</v>
      </c>
      <c r="I45" s="21">
        <f>C45</f>
        <v>7</v>
      </c>
      <c r="J45" s="4" t="s">
        <v>21</v>
      </c>
      <c r="K45" s="61">
        <f>C45</f>
        <v>7</v>
      </c>
      <c r="L45" s="34" t="s">
        <v>21</v>
      </c>
    </row>
    <row r="46" spans="1:12" ht="12.75">
      <c r="A46" s="41"/>
      <c r="B46" s="42" t="s">
        <v>44</v>
      </c>
      <c r="C46" s="47">
        <v>0.08</v>
      </c>
      <c r="D46" s="9" t="s">
        <v>24</v>
      </c>
      <c r="E46" s="89">
        <f>C46</f>
        <v>0.08</v>
      </c>
      <c r="F46" s="75" t="s">
        <v>24</v>
      </c>
      <c r="G46" s="108">
        <f>E46</f>
        <v>0.08</v>
      </c>
      <c r="H46" s="95" t="s">
        <v>24</v>
      </c>
      <c r="I46" s="48">
        <f>C46</f>
        <v>0.08</v>
      </c>
      <c r="J46" s="4" t="s">
        <v>24</v>
      </c>
      <c r="K46" s="70">
        <v>0.08</v>
      </c>
      <c r="L46" s="34" t="s">
        <v>24</v>
      </c>
    </row>
    <row r="47" spans="1:14" ht="12.75">
      <c r="A47" s="41"/>
      <c r="B47" s="43" t="s">
        <v>25</v>
      </c>
      <c r="C47" s="17">
        <f>PMT(C46,C45,-C44)</f>
        <v>-672253.4049994366</v>
      </c>
      <c r="D47" s="18" t="s">
        <v>26</v>
      </c>
      <c r="E47" s="90">
        <f>PMT(E46,E45,-E44)</f>
        <v>-172865.1612855694</v>
      </c>
      <c r="F47" s="91" t="s">
        <v>26</v>
      </c>
      <c r="G47" s="109">
        <f>PMT(G46,G45,-G44)</f>
        <v>-2689013.6199977463</v>
      </c>
      <c r="H47" s="110" t="s">
        <v>26</v>
      </c>
      <c r="I47" s="29">
        <f>PMT(I46,I45,-I44)</f>
        <v>-2304868.817140925</v>
      </c>
      <c r="J47" s="30" t="s">
        <v>26</v>
      </c>
      <c r="K47" s="71">
        <f>PMT(K46,K45,-K44)</f>
        <v>-3841448.028568209</v>
      </c>
      <c r="L47" s="36" t="s">
        <v>26</v>
      </c>
      <c r="N47" s="6"/>
    </row>
    <row r="48" spans="1:12" ht="20.25" customHeight="1">
      <c r="A48" s="41" t="s">
        <v>47</v>
      </c>
      <c r="B48" s="42"/>
      <c r="C48" s="50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1"/>
      <c r="B49" s="42" t="s">
        <v>0</v>
      </c>
      <c r="C49" s="15">
        <v>-20000</v>
      </c>
      <c r="D49" s="16"/>
      <c r="E49" s="88">
        <v>-30000</v>
      </c>
      <c r="F49" s="75"/>
      <c r="G49" s="107">
        <v>-60000</v>
      </c>
      <c r="H49" s="95"/>
      <c r="I49" s="28">
        <v>-60000</v>
      </c>
      <c r="J49" s="4"/>
      <c r="K49" s="35">
        <v>-500000</v>
      </c>
      <c r="L49" s="34"/>
    </row>
    <row r="50" spans="1:13" ht="12.75">
      <c r="A50" s="41"/>
      <c r="B50" s="42" t="s">
        <v>51</v>
      </c>
      <c r="C50" s="15">
        <f>-C26*C14*C21</f>
        <v>-9808.107923794361</v>
      </c>
      <c r="D50" s="9"/>
      <c r="E50" s="92">
        <f>-E26*E14*E21</f>
        <v>-33401.01511550185</v>
      </c>
      <c r="F50" s="75"/>
      <c r="G50" s="111">
        <f>-G26*G14*G21</f>
        <v>-287298.9570837151</v>
      </c>
      <c r="H50" s="95"/>
      <c r="I50" s="31">
        <f>-I26*I14*I21</f>
        <v>-1067440.7747329131</v>
      </c>
      <c r="J50" s="4"/>
      <c r="K50" s="72">
        <f>-K26*K14*K21</f>
        <v>-2492295.132980686</v>
      </c>
      <c r="L50" s="34"/>
      <c r="M50" s="139">
        <f>K50/K54</f>
        <v>-0.5425404371114418</v>
      </c>
    </row>
    <row r="51" spans="1:12" ht="12.75">
      <c r="A51" s="41"/>
      <c r="B51" s="44" t="s">
        <v>76</v>
      </c>
      <c r="C51" s="19">
        <f>1%*C44</f>
        <v>-35000</v>
      </c>
      <c r="D51" s="144">
        <f>-C51/C28</f>
        <v>10.9375</v>
      </c>
      <c r="E51" s="93">
        <f>2%*E44</f>
        <v>-18000</v>
      </c>
      <c r="F51" s="143">
        <f>-E51/E40</f>
        <v>64.28571428571429</v>
      </c>
      <c r="G51" s="112">
        <f>2%*G44</f>
        <v>-280000</v>
      </c>
      <c r="H51" s="142">
        <f>-G51/G40</f>
        <v>38.888888888888886</v>
      </c>
      <c r="I51" s="32">
        <f>2%*I44</f>
        <v>-240000</v>
      </c>
      <c r="J51" s="141">
        <f>-I51/I40</f>
        <v>24.61538461538462</v>
      </c>
      <c r="K51" s="73">
        <f>2%*K44</f>
        <v>-400000</v>
      </c>
      <c r="L51" s="140">
        <f>-K51/K40</f>
        <v>10.884353741496598</v>
      </c>
    </row>
    <row r="52" spans="1:12" ht="12.75">
      <c r="A52" s="41"/>
      <c r="B52" s="43" t="s">
        <v>15</v>
      </c>
      <c r="C52" s="17">
        <f>SUM(C49:C51)</f>
        <v>-64808.10792379436</v>
      </c>
      <c r="D52" s="18"/>
      <c r="E52" s="90">
        <f>SUM(E49:E51)</f>
        <v>-81401.01511550185</v>
      </c>
      <c r="F52" s="91"/>
      <c r="G52" s="109">
        <f>SUM(G49:G51)</f>
        <v>-627298.9570837151</v>
      </c>
      <c r="H52" s="110"/>
      <c r="I52" s="29">
        <f>SUM(I49:I51)</f>
        <v>-1367440.7747329131</v>
      </c>
      <c r="J52" s="30"/>
      <c r="K52" s="71">
        <f>SUM(K49:K51)</f>
        <v>-3392295.132980686</v>
      </c>
      <c r="L52" s="36"/>
    </row>
    <row r="53" spans="1:12" ht="20.25" customHeight="1">
      <c r="A53" s="41" t="s">
        <v>48</v>
      </c>
      <c r="B53" s="42"/>
      <c r="C53" s="50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1"/>
      <c r="B54" s="42" t="s">
        <v>72</v>
      </c>
      <c r="C54" s="15">
        <v>0</v>
      </c>
      <c r="D54" s="9"/>
      <c r="E54" s="92">
        <f>E40*E42</f>
        <v>35000</v>
      </c>
      <c r="F54" s="75"/>
      <c r="G54" s="111">
        <f>G40*G42</f>
        <v>648000</v>
      </c>
      <c r="H54" s="95"/>
      <c r="I54" s="31">
        <f>I40*I42</f>
        <v>2047499.9999999995</v>
      </c>
      <c r="J54" s="4"/>
      <c r="K54" s="72">
        <f>K40*K42</f>
        <v>4593750</v>
      </c>
      <c r="L54" s="34"/>
    </row>
    <row r="55" spans="1:12" ht="12.75">
      <c r="A55" s="41"/>
      <c r="B55" s="44" t="s">
        <v>71</v>
      </c>
      <c r="C55" s="19">
        <f>C36*C34</f>
        <v>25600</v>
      </c>
      <c r="D55" s="20"/>
      <c r="E55" s="93">
        <f>E36*E34</f>
        <v>0</v>
      </c>
      <c r="F55" s="94"/>
      <c r="G55" s="112">
        <f>G36*G34</f>
        <v>280000</v>
      </c>
      <c r="H55" s="113"/>
      <c r="I55" s="32">
        <f>I36*I34</f>
        <v>120000</v>
      </c>
      <c r="J55" s="33"/>
      <c r="K55" s="73">
        <f>K36*K34</f>
        <v>120000</v>
      </c>
      <c r="L55" s="46"/>
    </row>
    <row r="56" spans="1:12" ht="12.75">
      <c r="A56" s="41"/>
      <c r="B56" s="43" t="s">
        <v>45</v>
      </c>
      <c r="C56" s="17">
        <f>SUM(C54:C55)</f>
        <v>25600</v>
      </c>
      <c r="D56" s="18"/>
      <c r="E56" s="90">
        <f>SUM(E54:E55)</f>
        <v>35000</v>
      </c>
      <c r="F56" s="91"/>
      <c r="G56" s="109">
        <f>SUM(G54:G55)</f>
        <v>928000</v>
      </c>
      <c r="H56" s="110"/>
      <c r="I56" s="29">
        <f>SUM(I54:I55)</f>
        <v>2167499.9999999995</v>
      </c>
      <c r="J56" s="30"/>
      <c r="K56" s="71">
        <f>SUM(K54:K55)</f>
        <v>4713750</v>
      </c>
      <c r="L56" s="36"/>
    </row>
    <row r="57" spans="1:12" ht="20.25" customHeight="1">
      <c r="A57" s="41" t="s">
        <v>49</v>
      </c>
      <c r="B57" s="42"/>
      <c r="C57" s="50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1"/>
      <c r="B58" s="42" t="s">
        <v>28</v>
      </c>
      <c r="C58" s="15">
        <f>C52+C56</f>
        <v>-39208.10792379436</v>
      </c>
      <c r="D58" s="9"/>
      <c r="E58" s="92">
        <f>E52+E56</f>
        <v>-46401.015115501854</v>
      </c>
      <c r="F58" s="75"/>
      <c r="G58" s="111">
        <f>G52+G56</f>
        <v>300701.0429162849</v>
      </c>
      <c r="H58" s="95"/>
      <c r="I58" s="31">
        <f>I52+I56</f>
        <v>800059.2252670864</v>
      </c>
      <c r="J58" s="4"/>
      <c r="K58" s="72">
        <f>K52+K56</f>
        <v>1321454.8670193139</v>
      </c>
      <c r="L58" s="34"/>
    </row>
    <row r="59" spans="1:12" ht="12.75">
      <c r="A59" s="41"/>
      <c r="B59" s="42" t="s">
        <v>53</v>
      </c>
      <c r="C59" s="15">
        <f>C47+C52+C56</f>
        <v>-711461.5129232309</v>
      </c>
      <c r="D59" s="9"/>
      <c r="E59" s="92">
        <f>E47+E52+E56</f>
        <v>-219266.17640107125</v>
      </c>
      <c r="F59" s="75"/>
      <c r="G59" s="111">
        <f>G47+G52+G56</f>
        <v>-2388312.5770814614</v>
      </c>
      <c r="H59" s="95"/>
      <c r="I59" s="31">
        <f>I47+I52+I56</f>
        <v>-1504809.591873839</v>
      </c>
      <c r="J59" s="4"/>
      <c r="K59" s="72">
        <f>K47+K52+K56</f>
        <v>-2519993.1615488958</v>
      </c>
      <c r="L59" s="34"/>
    </row>
    <row r="60" spans="1:12" ht="20.25" customHeight="1">
      <c r="A60" s="41" t="s">
        <v>34</v>
      </c>
      <c r="B60" s="42"/>
      <c r="C60" s="50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1"/>
      <c r="B61" s="42" t="s">
        <v>22</v>
      </c>
      <c r="C61" s="10" t="str">
        <f>IF(C58&lt;0,"never",-C44/C58)</f>
        <v>never</v>
      </c>
      <c r="D61" s="9" t="s">
        <v>21</v>
      </c>
      <c r="E61" s="82">
        <f>-E44/E58</f>
        <v>-19.396127385569287</v>
      </c>
      <c r="F61" s="75" t="s">
        <v>21</v>
      </c>
      <c r="G61" s="97">
        <f>-G44/G58</f>
        <v>46.55786978396878</v>
      </c>
      <c r="H61" s="95" t="s">
        <v>21</v>
      </c>
      <c r="I61" s="21">
        <f>-I44/I58</f>
        <v>14.998889608446175</v>
      </c>
      <c r="J61" s="4" t="s">
        <v>21</v>
      </c>
      <c r="K61" s="61">
        <f>-K44/K58</f>
        <v>15.13483396153528</v>
      </c>
      <c r="L61" s="34" t="s">
        <v>21</v>
      </c>
    </row>
    <row r="62" spans="1:12" ht="12.75">
      <c r="A62" s="41"/>
      <c r="B62" s="42" t="s">
        <v>46</v>
      </c>
      <c r="C62" s="8" t="s">
        <v>6</v>
      </c>
      <c r="D62" s="9"/>
      <c r="E62" s="77">
        <f>ABS(E47+E52+E55)/E40</f>
        <v>908.0934871466831</v>
      </c>
      <c r="F62" s="75" t="s">
        <v>17</v>
      </c>
      <c r="G62" s="98">
        <f>ABS(G47+G52+G55)/$I40</f>
        <v>311.4166745724576</v>
      </c>
      <c r="H62" s="95" t="s">
        <v>17</v>
      </c>
      <c r="I62" s="22">
        <f>ABS(I47+I52+I55)/$I40</f>
        <v>364.3394453203938</v>
      </c>
      <c r="J62" s="4" t="s">
        <v>17</v>
      </c>
      <c r="K62" s="38">
        <f>ABS(K47+K52+K55)/$K40</f>
        <v>193.5712424911264</v>
      </c>
      <c r="L62" s="34" t="s">
        <v>17</v>
      </c>
    </row>
    <row r="63" spans="1:12" ht="12.75">
      <c r="A63" s="41"/>
      <c r="B63" s="42"/>
      <c r="C63" s="8"/>
      <c r="D63" s="9"/>
      <c r="E63" s="77">
        <f>E62/10</f>
        <v>90.8093487146683</v>
      </c>
      <c r="F63" s="75" t="s">
        <v>27</v>
      </c>
      <c r="G63" s="96">
        <f>G62/10</f>
        <v>31.141667457245763</v>
      </c>
      <c r="H63" s="95" t="s">
        <v>27</v>
      </c>
      <c r="I63" s="24">
        <f>I62/10</f>
        <v>36.433944532039376</v>
      </c>
      <c r="J63" s="4" t="s">
        <v>27</v>
      </c>
      <c r="K63" s="37">
        <f>K62/10</f>
        <v>19.35712424911264</v>
      </c>
      <c r="L63" s="34" t="s">
        <v>27</v>
      </c>
    </row>
    <row r="65" ht="12.75">
      <c r="B65" s="54" t="s">
        <v>38</v>
      </c>
    </row>
    <row r="66" ht="12.75">
      <c r="B66" s="55" t="s">
        <v>43</v>
      </c>
    </row>
    <row r="67" ht="12.75">
      <c r="B67" s="55" t="s">
        <v>84</v>
      </c>
    </row>
    <row r="69" spans="2:3" ht="12.75">
      <c r="B69" s="7" t="s">
        <v>52</v>
      </c>
      <c r="C69" s="5"/>
    </row>
    <row r="71" spans="2:4" ht="12.75">
      <c r="B71" t="s">
        <v>35</v>
      </c>
      <c r="C71">
        <v>0.03723</v>
      </c>
      <c r="D71" t="s">
        <v>36</v>
      </c>
    </row>
    <row r="72" spans="2:12" ht="12.75">
      <c r="B72" t="s">
        <v>61</v>
      </c>
      <c r="C72" s="1">
        <v>46</v>
      </c>
      <c r="D72" t="s">
        <v>62</v>
      </c>
      <c r="E72">
        <f>A72*0.838</f>
        <v>0</v>
      </c>
      <c r="F72" t="s">
        <v>63</v>
      </c>
      <c r="G72">
        <f>E72*0.838</f>
        <v>0</v>
      </c>
      <c r="H72" t="s">
        <v>63</v>
      </c>
      <c r="I72">
        <f>C72*0.838</f>
        <v>38.548</v>
      </c>
      <c r="J72" t="s">
        <v>63</v>
      </c>
      <c r="K72" t="e">
        <f>#REF!*0.838</f>
        <v>#REF!</v>
      </c>
      <c r="L72" t="s">
        <v>63</v>
      </c>
    </row>
  </sheetData>
  <sheetProtection/>
  <mergeCells count="5">
    <mergeCell ref="C2:D2"/>
    <mergeCell ref="I2:J2"/>
    <mergeCell ref="K2:L2"/>
    <mergeCell ref="E2:F2"/>
    <mergeCell ref="G2:H2"/>
  </mergeCells>
  <conditionalFormatting sqref="D61">
    <cfRule type="expression" priority="1" dxfId="0" stopIfTrue="1">
      <formula>$C$58&lt;0</formula>
    </cfRule>
  </conditionalFormatting>
  <printOptions/>
  <pageMargins left="0.6692913385826772" right="0.4724409448818898" top="0.19" bottom="0.2362204724409449" header="0.14" footer="0.15748031496062992"/>
  <pageSetup horizontalDpi="600" verticalDpi="600" orientation="portrait" scale="85" r:id="rId1"/>
  <rowBreaks count="1" manualBreakCount="1">
    <brk id="63" max="11" man="1"/>
  </rowBreaks>
  <colBreaks count="1" manualBreakCount="1">
    <brk id="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CBER</Company>
  <HyperlinkBase>www.biomassenergyresearch.ca/CHP_expertise.htm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Biomass CHP Technologies</dc:title>
  <dc:subject/>
  <dc:creator>Cornelius Suchy</dc:creator>
  <cp:keywords/>
  <dc:description/>
  <cp:lastModifiedBy>Cornelius</cp:lastModifiedBy>
  <cp:lastPrinted>2009-03-19T05:27:48Z</cp:lastPrinted>
  <dcterms:created xsi:type="dcterms:W3CDTF">2006-03-02T01:46:05Z</dcterms:created>
  <dcterms:modified xsi:type="dcterms:W3CDTF">2011-01-24T16:59:21Z</dcterms:modified>
  <cp:category/>
  <cp:version/>
  <cp:contentType/>
  <cp:contentStatus/>
</cp:coreProperties>
</file>